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ROJEKTY\2023\04. LUBAWA (SIM Warmia i Mazury)\03. ODDANIA\2023-12-12 oddanie do zgrania na pendrive\4_wersje edytowalne\"/>
    </mc:Choice>
  </mc:AlternateContent>
  <bookViews>
    <workbookView xWindow="0" yWindow="0" windowWidth="21736" windowHeight="8572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K25" i="1" l="1"/>
  <c r="K28" i="1"/>
  <c r="K35" i="1"/>
  <c r="K29" i="1"/>
  <c r="K12" i="1"/>
  <c r="K7" i="1"/>
  <c r="K45" i="1"/>
  <c r="K52" i="1" s="1"/>
  <c r="K10" i="1"/>
  <c r="K42" i="1"/>
  <c r="K40" i="1"/>
  <c r="K37" i="1"/>
  <c r="K36" i="1"/>
  <c r="K34" i="1"/>
  <c r="K30" i="1"/>
  <c r="K26" i="1"/>
  <c r="K19" i="1"/>
  <c r="K18" i="1"/>
  <c r="K14" i="1"/>
  <c r="M6" i="1"/>
  <c r="K56" i="1"/>
  <c r="K33" i="1" l="1"/>
  <c r="K38" i="1" s="1"/>
  <c r="K39" i="1"/>
  <c r="K44" i="1" s="1"/>
  <c r="K24" i="1"/>
  <c r="K32" i="1" s="1"/>
  <c r="K11" i="1"/>
  <c r="K57" i="1" l="1"/>
  <c r="K23" i="1"/>
</calcChain>
</file>

<file path=xl/sharedStrings.xml><?xml version="1.0" encoding="utf-8"?>
<sst xmlns="http://schemas.openxmlformats.org/spreadsheetml/2006/main" count="105" uniqueCount="103">
  <si>
    <t>Lp.</t>
  </si>
  <si>
    <t>Nazwa elementu budynku</t>
  </si>
  <si>
    <t>Do wykonania</t>
  </si>
  <si>
    <t>Udział procentowy elementu</t>
  </si>
  <si>
    <t>Wartość robót</t>
  </si>
  <si>
    <t>%</t>
  </si>
  <si>
    <t>zł</t>
  </si>
  <si>
    <t>I.0</t>
  </si>
  <si>
    <t>ROBOTY PRZYGOTOWAWCZE</t>
  </si>
  <si>
    <t>1.0</t>
  </si>
  <si>
    <t>Roboty przygotowawcze</t>
  </si>
  <si>
    <t>ROBOTY PRZYTOWAWCZE ŁĄCZNIE</t>
  </si>
  <si>
    <t>II.0</t>
  </si>
  <si>
    <t>ROBOTY BUDOWLANE ‐ STAN SUROWY</t>
  </si>
  <si>
    <t>3.0</t>
  </si>
  <si>
    <t>Roboty ziemne</t>
  </si>
  <si>
    <t>4.0</t>
  </si>
  <si>
    <t>Fundamenty</t>
  </si>
  <si>
    <t>5.0</t>
  </si>
  <si>
    <t>Izolacje</t>
  </si>
  <si>
    <t>6.0</t>
  </si>
  <si>
    <t>Ściany konstrukcyjne</t>
  </si>
  <si>
    <t>7.0</t>
  </si>
  <si>
    <t>Ściany działowe</t>
  </si>
  <si>
    <t>8.0</t>
  </si>
  <si>
    <t>Stropy</t>
  </si>
  <si>
    <t>9.0</t>
  </si>
  <si>
    <t>Schody i podesty</t>
  </si>
  <si>
    <t>10.0</t>
  </si>
  <si>
    <t>Elementy kowalsko ślusarskie</t>
  </si>
  <si>
    <t>11.0</t>
  </si>
  <si>
    <t>Konstrukcja dachu</t>
  </si>
  <si>
    <t>12.0</t>
  </si>
  <si>
    <t>Pokrycie</t>
  </si>
  <si>
    <t>13.0</t>
  </si>
  <si>
    <t>Obróbki blacharskie</t>
  </si>
  <si>
    <t>ROBOTY BUDOWLANE‐ STAN SUROWY ŁĄCZNIE</t>
  </si>
  <si>
    <t>III.0</t>
  </si>
  <si>
    <t>ROBOTY BUDOWLANE ‐ STAN 
 WYKOŃCZENIOWY</t>
  </si>
  <si>
    <t>14.0</t>
  </si>
  <si>
    <t>Tynki wewnętrzne</t>
  </si>
  <si>
    <t>15.0</t>
  </si>
  <si>
    <t>Tynki zewnętrzne</t>
  </si>
  <si>
    <t>16.0</t>
  </si>
  <si>
    <t>Stolarka okienna</t>
  </si>
  <si>
    <t>17.0</t>
  </si>
  <si>
    <t>Stolarka drzwiowa</t>
  </si>
  <si>
    <t>18.0</t>
  </si>
  <si>
    <t>Podłogi i posadzki</t>
  </si>
  <si>
    <t>19.0</t>
  </si>
  <si>
    <t>Malowanie ścian i sufitów</t>
  </si>
  <si>
    <t>20.0</t>
  </si>
  <si>
    <t>Malowanie olejne (LAMPERIE KORYTARZOWE?)</t>
  </si>
  <si>
    <t>ROBOTY BUDOWLANE STAN 
 WYKOŃCZENIOWY ŁĄCZNIE</t>
  </si>
  <si>
    <t>IV.0</t>
  </si>
  <si>
    <t>INSTALACJE SANITARNE</t>
  </si>
  <si>
    <t>21.0</t>
  </si>
  <si>
    <t>Co /ruraż/</t>
  </si>
  <si>
    <t>22.0</t>
  </si>
  <si>
    <t>Co /piecyki i grzejniki/</t>
  </si>
  <si>
    <t>23.0</t>
  </si>
  <si>
    <t>Wod‐kan /ruraż/</t>
  </si>
  <si>
    <t>24.0</t>
  </si>
  <si>
    <t>Wod‐kan /armatura/</t>
  </si>
  <si>
    <t>INSTALACJE SANITARNE ŁĄCZNIE</t>
  </si>
  <si>
    <t>V.0</t>
  </si>
  <si>
    <t>INSTALACJE ELEKTRYCZNE</t>
  </si>
  <si>
    <t>27.0</t>
  </si>
  <si>
    <t>Instalacje elektryczne /ruraż/</t>
  </si>
  <si>
    <t>28.0</t>
  </si>
  <si>
    <t>Instalacja elektryczna /armatura/</t>
  </si>
  <si>
    <t>29.0</t>
  </si>
  <si>
    <t>Instalacja RTV</t>
  </si>
  <si>
    <t>30.0</t>
  </si>
  <si>
    <t>INSTALACJE ELEKTRYCZNE ŁĄCZNIE</t>
  </si>
  <si>
    <t>VI.0</t>
  </si>
  <si>
    <t xml:space="preserve">ZAGOSPODAROWANIE TERENU </t>
  </si>
  <si>
    <t>32.0</t>
  </si>
  <si>
    <t>Dojścia i dojazdy utwardzone</t>
  </si>
  <si>
    <t>Sieci podziemne</t>
  </si>
  <si>
    <t>33.0</t>
  </si>
  <si>
    <t>IX.0</t>
  </si>
  <si>
    <t>Czynności specjalistyczne wynikające z obowiązków inwestora</t>
  </si>
  <si>
    <t>34.0</t>
  </si>
  <si>
    <t>Nadzór inwestorski</t>
  </si>
  <si>
    <t>35.0</t>
  </si>
  <si>
    <t>Rezerwa</t>
  </si>
  <si>
    <t>Obowiązki inwestora</t>
  </si>
  <si>
    <t>OGÓŁEM WARTOŚĆ ROBÓT DO WYKONANIA NETTO</t>
  </si>
  <si>
    <t>Rozbiórki</t>
  </si>
  <si>
    <t>Ogródki</t>
  </si>
  <si>
    <t>Zieleń, (trawniki, drzewa i krzewy)</t>
  </si>
  <si>
    <t>Plac zabaw</t>
  </si>
  <si>
    <t>Wiata śmietnikowa</t>
  </si>
  <si>
    <t>38.0</t>
  </si>
  <si>
    <t>39.0</t>
  </si>
  <si>
    <t>36.0</t>
  </si>
  <si>
    <t>37.0</t>
  </si>
  <si>
    <t>BUDOWA ZESPOŁU 2 BUDYNKÓW MIESZKALNYCH WIELORODZINNYCH WRAZ Z ZAGOSPODAROWANIEM TERENU I INFRASTRUKTURĄ TACHNICZNĄ</t>
  </si>
  <si>
    <t>KAZANICE, GM. LUBAWA - ANALIZA FINANSOWA</t>
  </si>
  <si>
    <t>Instalacja fotowoltaiczna wraz z pompą ciepła (powietrzna)</t>
  </si>
  <si>
    <t>PUM</t>
  </si>
  <si>
    <t>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</si>
</sst>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zł&quot;"/>
    <numFmt numFmtId="165" formatCode="#,##0.00\ &quot;zł&quot;"/>
  </numFmts>
  <fonts count="4">
    <font>
      <sz val="11"/>
      <color theme="1"/>
      <name val="Czcionka tekstu podstawowego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CCCCCC"/>
        <bgColor rgb="FFCCCCCC"/>
      </patternFill>
    </fill>
    <fill>
      <patternFill patternType="solid">
        <fgColor rgb="FFFFE599"/>
        <bgColor rgb="FFFFE59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top"/>
    </xf>
    <xf numFmtId="10" fontId="1" fillId="0" borderId="3" xfId="0" applyNumberFormat="1" applyFont="1" applyBorder="1" applyAlignment="1">
      <alignment vertical="top"/>
    </xf>
    <xf numFmtId="164" fontId="1" fillId="0" borderId="3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vertical="top"/>
    </xf>
    <xf numFmtId="164" fontId="1" fillId="2" borderId="3" xfId="0" applyNumberFormat="1" applyFont="1" applyFill="1" applyBorder="1" applyAlignment="1">
      <alignment horizontal="center" vertical="center"/>
    </xf>
    <xf numFmtId="10" fontId="1" fillId="0" borderId="3" xfId="0" applyNumberFormat="1" applyFont="1" applyBorder="1" applyAlignment="1">
      <alignment horizontal="right" vertical="top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vertical="top"/>
    </xf>
    <xf numFmtId="164" fontId="1" fillId="3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4" borderId="3" xfId="0" applyFont="1" applyFill="1" applyBorder="1" applyAlignment="1">
      <alignment vertical="center"/>
    </xf>
    <xf numFmtId="0" fontId="1" fillId="4" borderId="3" xfId="0" applyFont="1" applyFill="1" applyBorder="1" applyAlignment="1">
      <alignment vertical="top"/>
    </xf>
    <xf numFmtId="10" fontId="1" fillId="4" borderId="3" xfId="0" applyNumberFormat="1" applyFont="1" applyFill="1" applyBorder="1" applyAlignment="1">
      <alignment horizontal="right" vertical="top"/>
    </xf>
    <xf numFmtId="165" fontId="1" fillId="4" borderId="3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1" fillId="5" borderId="3" xfId="0" applyFont="1" applyFill="1" applyBorder="1" applyAlignment="1">
      <alignment vertical="center"/>
    </xf>
    <xf numFmtId="164" fontId="1" fillId="5" borderId="3" xfId="0" applyNumberFormat="1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top"/>
    </xf>
    <xf numFmtId="10" fontId="1" fillId="5" borderId="3" xfId="0" applyNumberFormat="1" applyFont="1" applyFill="1" applyBorder="1" applyAlignment="1">
      <alignment vertical="top"/>
    </xf>
    <xf numFmtId="164" fontId="1" fillId="7" borderId="3" xfId="0" applyNumberFormat="1" applyFont="1" applyFill="1" applyBorder="1" applyAlignment="1">
      <alignment horizontal="center" vertical="center"/>
    </xf>
    <xf numFmtId="0" fontId="0" fillId="6" borderId="0" xfId="0" applyFill="1"/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G2:O60"/>
  <sheetViews>
    <sheetView tabSelected="1" topLeftCell="D1" workbookViewId="0">
      <selection activeCell="L57" sqref="L57"/>
    </sheetView>
  </sheetViews>
  <sheetFormatPr defaultRowHeight="13.6"/>
  <cols>
    <col min="7" max="7" width="5" customWidth="1"/>
    <col min="8" max="8" width="49.21875" customWidth="1"/>
    <col min="9" max="9" width="12.21875" customWidth="1"/>
    <col min="10" max="10" width="11.77734375" customWidth="1"/>
    <col min="11" max="11" width="17.77734375" customWidth="1"/>
    <col min="13" max="13" width="11.6640625" bestFit="1" customWidth="1"/>
    <col min="15" max="15" width="11.6640625" bestFit="1" customWidth="1"/>
  </cols>
  <sheetData>
    <row r="2" spans="7:15" ht="50.3" customHeight="1">
      <c r="G2" s="34" t="s">
        <v>98</v>
      </c>
      <c r="H2" s="34"/>
      <c r="I2" s="34"/>
      <c r="J2" s="34"/>
      <c r="K2" s="34"/>
    </row>
    <row r="3" spans="7:15" ht="15.65">
      <c r="G3" s="33" t="s">
        <v>99</v>
      </c>
      <c r="H3" s="33"/>
      <c r="I3" s="33"/>
      <c r="J3" s="33"/>
      <c r="K3" s="33"/>
    </row>
    <row r="5" spans="7:15" ht="46.9">
      <c r="G5" s="1" t="s">
        <v>0</v>
      </c>
      <c r="H5" s="2" t="s">
        <v>1</v>
      </c>
      <c r="I5" s="2" t="s">
        <v>2</v>
      </c>
      <c r="J5" s="2" t="s">
        <v>3</v>
      </c>
      <c r="K5" s="2" t="s">
        <v>4</v>
      </c>
    </row>
    <row r="6" spans="7:15" ht="15.65">
      <c r="G6" s="3"/>
      <c r="H6" s="4"/>
      <c r="I6" s="4" t="s">
        <v>5</v>
      </c>
      <c r="J6" s="4" t="s">
        <v>5</v>
      </c>
      <c r="K6" s="4" t="s">
        <v>6</v>
      </c>
      <c r="M6" s="32">
        <f>421.52*2</f>
        <v>843.04</v>
      </c>
      <c r="N6" s="30" t="s">
        <v>102</v>
      </c>
    </row>
    <row r="7" spans="7:15" ht="15.65">
      <c r="G7" s="3" t="s">
        <v>7</v>
      </c>
      <c r="H7" s="5" t="s">
        <v>8</v>
      </c>
      <c r="I7" s="6"/>
      <c r="J7" s="6"/>
      <c r="K7" s="17">
        <f>K8+K9</f>
        <v>70000</v>
      </c>
      <c r="M7" s="32"/>
      <c r="N7" s="31"/>
    </row>
    <row r="8" spans="7:15" ht="15.65">
      <c r="G8" s="3" t="s">
        <v>9</v>
      </c>
      <c r="H8" s="5" t="s">
        <v>10</v>
      </c>
      <c r="I8" s="6"/>
      <c r="J8" s="7"/>
      <c r="K8" s="8">
        <v>30000</v>
      </c>
      <c r="L8" s="29"/>
      <c r="M8" s="32">
        <v>719.66</v>
      </c>
      <c r="N8" s="31" t="s">
        <v>101</v>
      </c>
      <c r="O8" s="23"/>
    </row>
    <row r="9" spans="7:15" ht="15.65">
      <c r="G9" s="3"/>
      <c r="H9" s="5" t="s">
        <v>89</v>
      </c>
      <c r="I9" s="6"/>
      <c r="J9" s="7"/>
      <c r="K9" s="28">
        <v>40000</v>
      </c>
      <c r="L9" s="29"/>
      <c r="O9" s="23"/>
    </row>
    <row r="10" spans="7:15" ht="15.65">
      <c r="G10" s="3"/>
      <c r="H10" s="9" t="s">
        <v>11</v>
      </c>
      <c r="I10" s="9"/>
      <c r="J10" s="9"/>
      <c r="K10" s="10">
        <f>K8+K9</f>
        <v>70000</v>
      </c>
    </row>
    <row r="11" spans="7:15" ht="15.65">
      <c r="G11" s="3" t="s">
        <v>12</v>
      </c>
      <c r="H11" s="5" t="s">
        <v>13</v>
      </c>
      <c r="I11" s="6"/>
      <c r="J11" s="6"/>
      <c r="K11" s="8">
        <f>SUM(K12:K22)</f>
        <v>2034769.0534000001</v>
      </c>
    </row>
    <row r="12" spans="7:15" ht="15.65">
      <c r="G12" s="3" t="s">
        <v>14</v>
      </c>
      <c r="H12" s="5" t="s">
        <v>15</v>
      </c>
      <c r="I12" s="6"/>
      <c r="J12" s="7"/>
      <c r="K12" s="28">
        <f>65.71*719.66</f>
        <v>47288.858599999992</v>
      </c>
      <c r="L12" s="29"/>
    </row>
    <row r="13" spans="7:15" ht="15.65">
      <c r="G13" s="3" t="s">
        <v>16</v>
      </c>
      <c r="H13" s="5" t="s">
        <v>17</v>
      </c>
      <c r="I13" s="6"/>
      <c r="J13" s="11"/>
      <c r="K13" s="8">
        <v>214167.29</v>
      </c>
      <c r="L13" s="29"/>
      <c r="M13" s="23"/>
    </row>
    <row r="14" spans="7:15" ht="15.65">
      <c r="G14" s="3" t="s">
        <v>18</v>
      </c>
      <c r="H14" s="5" t="s">
        <v>19</v>
      </c>
      <c r="I14" s="6"/>
      <c r="J14" s="11"/>
      <c r="K14" s="8">
        <f>197.11*843.04</f>
        <v>166171.61439999999</v>
      </c>
    </row>
    <row r="15" spans="7:15" ht="15.65">
      <c r="G15" s="3" t="s">
        <v>20</v>
      </c>
      <c r="H15" s="5" t="s">
        <v>21</v>
      </c>
      <c r="I15" s="6"/>
      <c r="J15" s="7"/>
      <c r="K15" s="8">
        <v>459069</v>
      </c>
      <c r="O15" s="23"/>
    </row>
    <row r="16" spans="7:15" ht="15.65">
      <c r="G16" s="3" t="s">
        <v>22</v>
      </c>
      <c r="H16" s="5" t="s">
        <v>23</v>
      </c>
      <c r="I16" s="6"/>
      <c r="J16" s="7"/>
      <c r="K16" s="8">
        <v>249555.3</v>
      </c>
      <c r="M16" s="23"/>
    </row>
    <row r="17" spans="7:13" ht="15.65">
      <c r="G17" s="3" t="s">
        <v>24</v>
      </c>
      <c r="H17" s="5" t="s">
        <v>25</v>
      </c>
      <c r="I17" s="6"/>
      <c r="J17" s="11"/>
      <c r="K17" s="8">
        <v>342100</v>
      </c>
    </row>
    <row r="18" spans="7:13" ht="15.65">
      <c r="G18" s="3" t="s">
        <v>26</v>
      </c>
      <c r="H18" s="5" t="s">
        <v>27</v>
      </c>
      <c r="I18" s="6"/>
      <c r="J18" s="7"/>
      <c r="K18" s="8">
        <f>20.14*843.04</f>
        <v>16978.8256</v>
      </c>
    </row>
    <row r="19" spans="7:13" ht="15.65">
      <c r="G19" s="3" t="s">
        <v>28</v>
      </c>
      <c r="H19" s="5" t="s">
        <v>29</v>
      </c>
      <c r="I19" s="6"/>
      <c r="J19" s="7"/>
      <c r="K19" s="8">
        <f>(12.84+6.03)*843.04</f>
        <v>15908.1648</v>
      </c>
    </row>
    <row r="20" spans="7:13" ht="15.65">
      <c r="G20" s="3" t="s">
        <v>30</v>
      </c>
      <c r="H20" s="5" t="s">
        <v>31</v>
      </c>
      <c r="I20" s="6"/>
      <c r="J20" s="7"/>
      <c r="K20" s="8">
        <v>258940</v>
      </c>
    </row>
    <row r="21" spans="7:13" ht="15.65">
      <c r="G21" s="3" t="s">
        <v>32</v>
      </c>
      <c r="H21" s="5" t="s">
        <v>33</v>
      </c>
      <c r="I21" s="6"/>
      <c r="J21" s="11"/>
      <c r="K21" s="8">
        <v>248940</v>
      </c>
    </row>
    <row r="22" spans="7:13" ht="15.65">
      <c r="G22" s="3" t="s">
        <v>34</v>
      </c>
      <c r="H22" s="5" t="s">
        <v>35</v>
      </c>
      <c r="I22" s="6"/>
      <c r="J22" s="7"/>
      <c r="K22" s="8">
        <v>15650</v>
      </c>
    </row>
    <row r="23" spans="7:13" ht="15.65">
      <c r="G23" s="12"/>
      <c r="H23" s="13" t="s">
        <v>36</v>
      </c>
      <c r="I23" s="14"/>
      <c r="J23" s="14"/>
      <c r="K23" s="15">
        <f>K11</f>
        <v>2034769.0534000001</v>
      </c>
    </row>
    <row r="24" spans="7:13" ht="15.65">
      <c r="G24" s="3" t="s">
        <v>37</v>
      </c>
      <c r="H24" s="5" t="s">
        <v>38</v>
      </c>
      <c r="I24" s="6"/>
      <c r="J24" s="6"/>
      <c r="K24" s="8">
        <f>SUM(K25:K31)</f>
        <v>1126982.1616</v>
      </c>
    </row>
    <row r="25" spans="7:13" ht="15.65">
      <c r="G25" s="3" t="s">
        <v>39</v>
      </c>
      <c r="H25" s="5" t="s">
        <v>40</v>
      </c>
      <c r="I25" s="6"/>
      <c r="J25" s="7"/>
      <c r="K25" s="8">
        <f>330.33*843.04</f>
        <v>278481.4032</v>
      </c>
      <c r="L25" s="29"/>
    </row>
    <row r="26" spans="7:13" ht="15.65">
      <c r="G26" s="3" t="s">
        <v>41</v>
      </c>
      <c r="H26" s="5" t="s">
        <v>42</v>
      </c>
      <c r="I26" s="6"/>
      <c r="J26" s="7"/>
      <c r="K26" s="8">
        <f>313.56*843.04</f>
        <v>264343.62239999999</v>
      </c>
    </row>
    <row r="27" spans="7:13" ht="15.65">
      <c r="G27" s="3" t="s">
        <v>43</v>
      </c>
      <c r="H27" s="5" t="s">
        <v>44</v>
      </c>
      <c r="I27" s="6"/>
      <c r="J27" s="7"/>
      <c r="K27" s="8">
        <v>192000</v>
      </c>
      <c r="L27" s="29"/>
      <c r="M27" s="23"/>
    </row>
    <row r="28" spans="7:13" ht="15.65">
      <c r="G28" s="3" t="s">
        <v>45</v>
      </c>
      <c r="H28" s="5" t="s">
        <v>46</v>
      </c>
      <c r="I28" s="6"/>
      <c r="J28" s="7"/>
      <c r="K28" s="8">
        <f>(83.95+89.55)*843.04</f>
        <v>146267.44</v>
      </c>
    </row>
    <row r="29" spans="7:13" ht="15.65">
      <c r="G29" s="3" t="s">
        <v>47</v>
      </c>
      <c r="H29" s="5" t="s">
        <v>48</v>
      </c>
      <c r="I29" s="6"/>
      <c r="J29" s="7"/>
      <c r="K29" s="8">
        <f>(142.63+104.05)*843.04</f>
        <v>207961.1072</v>
      </c>
      <c r="L29" s="29"/>
    </row>
    <row r="30" spans="7:13" ht="15.65">
      <c r="G30" s="3" t="s">
        <v>49</v>
      </c>
      <c r="H30" s="5" t="s">
        <v>50</v>
      </c>
      <c r="I30" s="6"/>
      <c r="J30" s="7"/>
      <c r="K30" s="8">
        <f>40.72*843.04</f>
        <v>34328.588799999998</v>
      </c>
    </row>
    <row r="31" spans="7:13" ht="15.65">
      <c r="G31" s="3" t="s">
        <v>51</v>
      </c>
      <c r="H31" s="5" t="s">
        <v>52</v>
      </c>
      <c r="I31" s="6"/>
      <c r="J31" s="7"/>
      <c r="K31" s="8">
        <v>3600</v>
      </c>
      <c r="L31" s="29"/>
    </row>
    <row r="32" spans="7:13" ht="15.65">
      <c r="G32" s="3"/>
      <c r="H32" s="13" t="s">
        <v>53</v>
      </c>
      <c r="I32" s="14"/>
      <c r="J32" s="14"/>
      <c r="K32" s="15">
        <f>K24</f>
        <v>1126982.1616</v>
      </c>
    </row>
    <row r="33" spans="7:12" ht="15.65">
      <c r="G33" s="3" t="s">
        <v>54</v>
      </c>
      <c r="H33" s="5" t="s">
        <v>55</v>
      </c>
      <c r="I33" s="6"/>
      <c r="J33" s="6"/>
      <c r="K33" s="8">
        <f>SUM(K34:K37)</f>
        <v>345528.37439999997</v>
      </c>
    </row>
    <row r="34" spans="7:12" ht="15.65">
      <c r="G34" s="3" t="s">
        <v>56</v>
      </c>
      <c r="H34" s="5" t="s">
        <v>57</v>
      </c>
      <c r="I34" s="6"/>
      <c r="J34" s="7"/>
      <c r="K34" s="8">
        <f>73.88*843.04</f>
        <v>62283.795199999993</v>
      </c>
    </row>
    <row r="35" spans="7:12" ht="15.65">
      <c r="G35" s="3" t="s">
        <v>58</v>
      </c>
      <c r="H35" s="5" t="s">
        <v>59</v>
      </c>
      <c r="I35" s="6"/>
      <c r="J35" s="7"/>
      <c r="K35" s="8">
        <f>137.21*843.04</f>
        <v>115673.5184</v>
      </c>
    </row>
    <row r="36" spans="7:12" ht="15.65">
      <c r="G36" s="3" t="s">
        <v>60</v>
      </c>
      <c r="H36" s="5" t="s">
        <v>61</v>
      </c>
      <c r="I36" s="6"/>
      <c r="J36" s="11"/>
      <c r="K36" s="8">
        <f>87.8*843.04</f>
        <v>74018.911999999997</v>
      </c>
    </row>
    <row r="37" spans="7:12" ht="15.65">
      <c r="G37" s="3" t="s">
        <v>62</v>
      </c>
      <c r="H37" s="5" t="s">
        <v>63</v>
      </c>
      <c r="I37" s="6"/>
      <c r="J37" s="11"/>
      <c r="K37" s="8">
        <f>110.97*843.04</f>
        <v>93552.148799999995</v>
      </c>
    </row>
    <row r="38" spans="7:12" ht="15.65">
      <c r="G38" s="3"/>
      <c r="H38" s="16" t="s">
        <v>64</v>
      </c>
      <c r="I38" s="9"/>
      <c r="J38" s="9"/>
      <c r="K38" s="10">
        <f>K33</f>
        <v>345528.37439999997</v>
      </c>
    </row>
    <row r="39" spans="7:12" ht="15.65">
      <c r="G39" s="3" t="s">
        <v>65</v>
      </c>
      <c r="H39" s="5" t="s">
        <v>66</v>
      </c>
      <c r="I39" s="6"/>
      <c r="J39" s="6"/>
      <c r="K39" s="17">
        <f>K40+K41+K42+K43</f>
        <v>1465171.5751999998</v>
      </c>
    </row>
    <row r="40" spans="7:12" ht="15.65">
      <c r="G40" s="3" t="s">
        <v>67</v>
      </c>
      <c r="H40" s="5" t="s">
        <v>68</v>
      </c>
      <c r="I40" s="6"/>
      <c r="J40" s="11"/>
      <c r="K40" s="8">
        <f>(61.13+51.5)*843.04</f>
        <v>94951.595199999996</v>
      </c>
    </row>
    <row r="41" spans="7:12" ht="15.65">
      <c r="G41" s="3" t="s">
        <v>69</v>
      </c>
      <c r="H41" s="5" t="s">
        <v>70</v>
      </c>
      <c r="I41" s="6"/>
      <c r="J41" s="11"/>
      <c r="K41" s="8">
        <v>126374</v>
      </c>
      <c r="L41" s="29"/>
    </row>
    <row r="42" spans="7:12" ht="15.65">
      <c r="G42" s="3" t="s">
        <v>71</v>
      </c>
      <c r="H42" s="5" t="s">
        <v>72</v>
      </c>
      <c r="I42" s="6"/>
      <c r="J42" s="7"/>
      <c r="K42" s="8">
        <f>39.25*843.04</f>
        <v>33089.32</v>
      </c>
    </row>
    <row r="43" spans="7:12" ht="15.65">
      <c r="G43" s="3" t="s">
        <v>73</v>
      </c>
      <c r="H43" s="5" t="s">
        <v>100</v>
      </c>
      <c r="I43" s="6"/>
      <c r="J43" s="7"/>
      <c r="K43" s="8">
        <v>1210756.6599999999</v>
      </c>
      <c r="L43" s="29"/>
    </row>
    <row r="44" spans="7:12" ht="15.65">
      <c r="G44" s="3"/>
      <c r="H44" s="13" t="s">
        <v>74</v>
      </c>
      <c r="I44" s="14"/>
      <c r="J44" s="14"/>
      <c r="K44" s="15">
        <f>K39</f>
        <v>1465171.5751999998</v>
      </c>
    </row>
    <row r="45" spans="7:12" ht="15.65">
      <c r="G45" s="3" t="s">
        <v>75</v>
      </c>
      <c r="H45" s="5" t="s">
        <v>76</v>
      </c>
      <c r="I45" s="6"/>
      <c r="J45" s="6"/>
      <c r="K45" s="17">
        <f>SUM(K46:K51)</f>
        <v>1001492.7500000001</v>
      </c>
    </row>
    <row r="46" spans="7:12" ht="15.65">
      <c r="G46" s="3" t="s">
        <v>77</v>
      </c>
      <c r="H46" s="5" t="s">
        <v>78</v>
      </c>
      <c r="I46" s="6"/>
      <c r="J46" s="6"/>
      <c r="K46" s="17">
        <v>423852.08</v>
      </c>
      <c r="L46" s="29"/>
    </row>
    <row r="47" spans="7:12" ht="15.65">
      <c r="G47" s="3" t="s">
        <v>80</v>
      </c>
      <c r="H47" s="5" t="s">
        <v>79</v>
      </c>
      <c r="I47" s="6"/>
      <c r="J47" s="6"/>
      <c r="K47" s="17">
        <v>368622.22</v>
      </c>
      <c r="L47" s="29"/>
    </row>
    <row r="48" spans="7:12" ht="15.65">
      <c r="G48" s="3" t="s">
        <v>83</v>
      </c>
      <c r="H48" s="5" t="s">
        <v>93</v>
      </c>
      <c r="I48" s="6"/>
      <c r="J48" s="6"/>
      <c r="K48" s="8">
        <v>47210</v>
      </c>
    </row>
    <row r="49" spans="7:12" ht="15.65">
      <c r="G49" s="3" t="s">
        <v>85</v>
      </c>
      <c r="H49" s="5" t="s">
        <v>90</v>
      </c>
      <c r="I49" s="6"/>
      <c r="J49" s="7"/>
      <c r="K49" s="8">
        <v>21160.05</v>
      </c>
      <c r="L49" s="29"/>
    </row>
    <row r="50" spans="7:12" ht="15.65">
      <c r="G50" s="3" t="s">
        <v>96</v>
      </c>
      <c r="H50" s="5" t="s">
        <v>91</v>
      </c>
      <c r="I50" s="6"/>
      <c r="J50" s="7"/>
      <c r="K50" s="8">
        <v>22806</v>
      </c>
      <c r="L50" s="29"/>
    </row>
    <row r="51" spans="7:12" ht="15.65">
      <c r="G51" s="3" t="s">
        <v>97</v>
      </c>
      <c r="H51" s="5" t="s">
        <v>92</v>
      </c>
      <c r="I51" s="6"/>
      <c r="J51" s="7"/>
      <c r="K51" s="8">
        <v>117842.4</v>
      </c>
    </row>
    <row r="52" spans="7:12" ht="15.65">
      <c r="G52" s="3"/>
      <c r="H52" s="24" t="s">
        <v>76</v>
      </c>
      <c r="I52" s="26"/>
      <c r="J52" s="27"/>
      <c r="K52" s="25">
        <f>K45</f>
        <v>1001492.7500000001</v>
      </c>
    </row>
    <row r="53" spans="7:12" ht="31.25">
      <c r="G53" s="3" t="s">
        <v>81</v>
      </c>
      <c r="H53" s="18" t="s">
        <v>82</v>
      </c>
      <c r="I53" s="6"/>
      <c r="J53" s="11"/>
      <c r="K53" s="8">
        <v>30000</v>
      </c>
      <c r="L53" s="29"/>
    </row>
    <row r="54" spans="7:12" ht="15.65">
      <c r="G54" s="3" t="s">
        <v>94</v>
      </c>
      <c r="H54" s="5" t="s">
        <v>84</v>
      </c>
      <c r="I54" s="6"/>
      <c r="J54" s="7"/>
      <c r="K54" s="8">
        <v>200000</v>
      </c>
    </row>
    <row r="55" spans="7:12" ht="15.65">
      <c r="G55" s="3" t="s">
        <v>95</v>
      </c>
      <c r="H55" s="5" t="s">
        <v>86</v>
      </c>
      <c r="I55" s="6"/>
      <c r="J55" s="11"/>
      <c r="K55" s="8">
        <v>200000</v>
      </c>
      <c r="L55" s="29"/>
    </row>
    <row r="56" spans="7:12" ht="15.65">
      <c r="G56" s="3"/>
      <c r="H56" s="16" t="s">
        <v>87</v>
      </c>
      <c r="I56" s="9"/>
      <c r="J56" s="9"/>
      <c r="K56" s="10">
        <f>K53+K54+K55</f>
        <v>430000</v>
      </c>
    </row>
    <row r="57" spans="7:12" ht="15.65">
      <c r="G57" s="3"/>
      <c r="H57" s="19" t="s">
        <v>88</v>
      </c>
      <c r="I57" s="20"/>
      <c r="J57" s="21">
        <v>1</v>
      </c>
      <c r="K57" s="22">
        <f>K56+K52+K44+K38+K32+K23+K10</f>
        <v>6473943.9145999998</v>
      </c>
    </row>
    <row r="59" spans="7:12" ht="14.3">
      <c r="K59" s="35"/>
    </row>
    <row r="60" spans="7:12">
      <c r="I60" s="23"/>
    </row>
  </sheetData>
  <mergeCells count="2">
    <mergeCell ref="G3:K3"/>
    <mergeCell ref="G2:K2"/>
  </mergeCells>
  <printOptions horizontalCentered="1"/>
  <pageMargins left="1.1023622047244095" right="0.70866141732283472" top="0.74803149606299213" bottom="0.74803149606299213" header="0.31496062992125984" footer="0.31496062992125984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Narejowski</dc:creator>
  <cp:lastModifiedBy>Michał Płoucha</cp:lastModifiedBy>
  <cp:lastPrinted>2023-12-11T12:19:42Z</cp:lastPrinted>
  <dcterms:created xsi:type="dcterms:W3CDTF">2023-12-06T21:05:51Z</dcterms:created>
  <dcterms:modified xsi:type="dcterms:W3CDTF">2023-12-13T18:27:27Z</dcterms:modified>
</cp:coreProperties>
</file>